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<sst xmlns="http://schemas.openxmlformats.org/spreadsheetml/2006/main" count="1722" uniqueCount="324">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</sst>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319</v>
      </c>
      <c r="N3" s="263" t="s">
        <v>320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315</v>
      </c>
      <c r="F4" s="246" t="s">
        <v>116</v>
      </c>
      <c r="G4" s="248" t="s">
        <v>316</v>
      </c>
      <c r="H4" s="250" t="s">
        <v>317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323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318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576676.6600000001</v>
      </c>
      <c r="G8" s="18">
        <f aca="true" t="shared" si="0" ref="G8:G54">F8-E8</f>
        <v>36033.090000000084</v>
      </c>
      <c r="H8" s="45">
        <f>F8/E8*100</f>
        <v>106.66485129935053</v>
      </c>
      <c r="I8" s="31">
        <f aca="true" t="shared" si="1" ref="I8:I54">F8-D8</f>
        <v>4387.660000000149</v>
      </c>
      <c r="J8" s="31">
        <f aca="true" t="shared" si="2" ref="J8:J14">F8/D8*100</f>
        <v>100.76668606246149</v>
      </c>
      <c r="K8" s="18">
        <f>K9+K15+K18+K19+K20+K32</f>
        <v>130652.70600000002</v>
      </c>
      <c r="L8" s="18"/>
      <c r="M8" s="18">
        <f>M9+M15+M18+M19+M20+M32+M17</f>
        <v>37118.100000000006</v>
      </c>
      <c r="N8" s="18">
        <f>N9+N15+N18+N19+N20+N32+N17</f>
        <v>34090.43000000002</v>
      </c>
      <c r="O8" s="31">
        <f aca="true" t="shared" si="3" ref="O8:O54">N8-M8</f>
        <v>-3027.6699999999837</v>
      </c>
      <c r="P8" s="31">
        <f>F8/M8*100</f>
        <v>1553.626559549115</v>
      </c>
      <c r="Q8" s="31">
        <f>N8-33748.16</f>
        <v>342.2700000000186</v>
      </c>
      <c r="R8" s="125">
        <f>N8/33748.16</f>
        <v>1.0101418862539475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314117.09</v>
      </c>
      <c r="G9" s="43">
        <f t="shared" si="0"/>
        <v>24149.97000000003</v>
      </c>
      <c r="H9" s="35">
        <f aca="true" t="shared" si="4" ref="H9:H38">F9/E9*100</f>
        <v>108.3285201439391</v>
      </c>
      <c r="I9" s="50">
        <f t="shared" si="1"/>
        <v>1427.0900000000256</v>
      </c>
      <c r="J9" s="50">
        <f t="shared" si="2"/>
        <v>100.45639131408105</v>
      </c>
      <c r="K9" s="132">
        <f>F9-349197.38/75*60</f>
        <v>34759.186000000045</v>
      </c>
      <c r="L9" s="132">
        <f>F9/(349197.38/75*60)*100</f>
        <v>112.44252820568128</v>
      </c>
      <c r="M9" s="35">
        <f>E9-жовтень!E9</f>
        <v>20102</v>
      </c>
      <c r="N9" s="35">
        <f>F9-жовтень!F9</f>
        <v>17841.76000000001</v>
      </c>
      <c r="O9" s="47">
        <f t="shared" si="3"/>
        <v>-2260.2399999999907</v>
      </c>
      <c r="P9" s="50">
        <f aca="true" t="shared" si="5" ref="P9:P32">N9/M9*100</f>
        <v>88.75614366729683</v>
      </c>
      <c r="Q9" s="132">
        <f>N9-26568.11</f>
        <v>-8726.349999999991</v>
      </c>
      <c r="R9" s="133">
        <f>N9/26568.11</f>
        <v>0.6715479573067112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278589.34</v>
      </c>
      <c r="G10" s="135">
        <f t="shared" si="0"/>
        <v>26228.52000000002</v>
      </c>
      <c r="H10" s="137">
        <f t="shared" si="4"/>
        <v>110.39326152134078</v>
      </c>
      <c r="I10" s="136">
        <f t="shared" si="1"/>
        <v>38179.340000000026</v>
      </c>
      <c r="J10" s="136">
        <f t="shared" si="2"/>
        <v>115.8809284139595</v>
      </c>
      <c r="K10" s="138">
        <f>F10-310040.1/75*60</f>
        <v>30557.260000000068</v>
      </c>
      <c r="L10" s="138">
        <f>F10/(310040.1/75*60)*100</f>
        <v>112.3198821700806</v>
      </c>
      <c r="M10" s="137">
        <f>E10-жовтень!E10</f>
        <v>16400</v>
      </c>
      <c r="N10" s="137">
        <f>F10-жовтень!F10</f>
        <v>15954.059999999998</v>
      </c>
      <c r="O10" s="138">
        <f t="shared" si="3"/>
        <v>-445.9400000000023</v>
      </c>
      <c r="P10" s="136">
        <f t="shared" si="5"/>
        <v>97.28085365853657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16351.45</v>
      </c>
      <c r="G11" s="135">
        <f t="shared" si="0"/>
        <v>-4618.450000000001</v>
      </c>
      <c r="H11" s="137">
        <f t="shared" si="4"/>
        <v>77.97581295094396</v>
      </c>
      <c r="I11" s="136">
        <f t="shared" si="1"/>
        <v>-7348.549999999999</v>
      </c>
      <c r="J11" s="136">
        <f t="shared" si="2"/>
        <v>68.99345991561182</v>
      </c>
      <c r="K11" s="138">
        <f>F11-24192.03/75*60</f>
        <v>-3002.1739999999954</v>
      </c>
      <c r="L11" s="138">
        <f>F11/(24192.03/75*60)*100</f>
        <v>84.4877941206257</v>
      </c>
      <c r="M11" s="137">
        <f>E11-жовтень!E11</f>
        <v>2052</v>
      </c>
      <c r="N11" s="137">
        <f>F11-жовтень!F11</f>
        <v>542.4099999999999</v>
      </c>
      <c r="O11" s="138">
        <f t="shared" si="3"/>
        <v>-1509.5900000000001</v>
      </c>
      <c r="P11" s="136">
        <f t="shared" si="5"/>
        <v>26.433235867446385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4454.02</v>
      </c>
      <c r="G12" s="135">
        <f t="shared" si="0"/>
        <v>-414.97999999999956</v>
      </c>
      <c r="H12" s="137">
        <f t="shared" si="4"/>
        <v>91.4771000205381</v>
      </c>
      <c r="I12" s="136">
        <f t="shared" si="1"/>
        <v>-1345.9799999999996</v>
      </c>
      <c r="J12" s="136">
        <f t="shared" si="2"/>
        <v>76.79344827586208</v>
      </c>
      <c r="K12" s="138">
        <f>F12-6123.95/75*60</f>
        <v>-445.1399999999994</v>
      </c>
      <c r="L12" s="138">
        <f>F12/(6123.95*60)*100</f>
        <v>1.2121860346127364</v>
      </c>
      <c r="M12" s="137">
        <f>E12-жовтень!E12</f>
        <v>420</v>
      </c>
      <c r="N12" s="137">
        <f>F12-жовтень!F12</f>
        <v>284.8800000000001</v>
      </c>
      <c r="O12" s="138">
        <f t="shared" si="3"/>
        <v>-135.1199999999999</v>
      </c>
      <c r="P12" s="136">
        <f t="shared" si="5"/>
        <v>67.82857142857145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6552.41</v>
      </c>
      <c r="G13" s="135">
        <f t="shared" si="0"/>
        <v>-1230.9899999999998</v>
      </c>
      <c r="H13" s="137">
        <f t="shared" si="4"/>
        <v>84.18441812061566</v>
      </c>
      <c r="I13" s="136">
        <f t="shared" si="1"/>
        <v>-1847.5900000000001</v>
      </c>
      <c r="J13" s="136">
        <f t="shared" si="2"/>
        <v>78.00488095238094</v>
      </c>
      <c r="K13" s="138">
        <f>F13-8694.58/75*60</f>
        <v>-403.2539999999999</v>
      </c>
      <c r="L13" s="138">
        <f>F13/(8694.58/75*60)*100</f>
        <v>94.20250891934975</v>
      </c>
      <c r="M13" s="137">
        <f>E13-жовтень!E13</f>
        <v>840</v>
      </c>
      <c r="N13" s="137">
        <f>F13-жовтень!F13</f>
        <v>453.53999999999996</v>
      </c>
      <c r="O13" s="138">
        <f t="shared" si="3"/>
        <v>-386.46000000000004</v>
      </c>
      <c r="P13" s="136">
        <f t="shared" si="5"/>
        <v>53.99285714285714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-560.25</v>
      </c>
      <c r="G15" s="43">
        <f t="shared" si="0"/>
        <v>-731.65</v>
      </c>
      <c r="H15" s="35"/>
      <c r="I15" s="50">
        <f t="shared" si="1"/>
        <v>-560.25</v>
      </c>
      <c r="J15" s="50" t="e">
        <f>F15/D15*100</f>
        <v>#DIV/0!</v>
      </c>
      <c r="K15" s="53">
        <f>F15-(-1352.56)</f>
        <v>792.31</v>
      </c>
      <c r="L15" s="53">
        <f>F15/(-1352.56)*100</f>
        <v>41.421452652747384</v>
      </c>
      <c r="M15" s="35">
        <f>E15-жовтень!E15</f>
        <v>0</v>
      </c>
      <c r="N15" s="35">
        <f>F15-жовтень!F15</f>
        <v>30.620000000000005</v>
      </c>
      <c r="O15" s="47">
        <f t="shared" si="3"/>
        <v>30.620000000000005</v>
      </c>
      <c r="P15" s="50"/>
      <c r="Q15" s="50">
        <f>N15-358.81</f>
        <v>-328.19</v>
      </c>
      <c r="R15" s="126">
        <f>N15/358.81</f>
        <v>0.08533764387837575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58880.38</v>
      </c>
      <c r="G19" s="43">
        <f t="shared" si="0"/>
        <v>-2782.3700000000026</v>
      </c>
      <c r="H19" s="35">
        <f t="shared" si="4"/>
        <v>95.4877620605633</v>
      </c>
      <c r="I19" s="50">
        <f t="shared" si="1"/>
        <v>-3329.6200000000026</v>
      </c>
      <c r="J19" s="178">
        <f>F19/D19*100</f>
        <v>94.647773669828</v>
      </c>
      <c r="K19" s="179">
        <f>F19-0</f>
        <v>58880.38</v>
      </c>
      <c r="L19" s="180"/>
      <c r="M19" s="35">
        <f>E19-жовтень!E19</f>
        <v>4140</v>
      </c>
      <c r="N19" s="35">
        <f>F19-жовтень!F19</f>
        <v>395.32999999999447</v>
      </c>
      <c r="O19" s="47">
        <f t="shared" si="3"/>
        <v>-3744.6700000000055</v>
      </c>
      <c r="P19" s="50">
        <f t="shared" si="5"/>
        <v>9.549033816424988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197869.49</v>
      </c>
      <c r="G20" s="43">
        <f t="shared" si="0"/>
        <v>16545.98999999999</v>
      </c>
      <c r="H20" s="35">
        <f t="shared" si="4"/>
        <v>109.12512167479669</v>
      </c>
      <c r="I20" s="50">
        <f t="shared" si="1"/>
        <v>7999.489999999991</v>
      </c>
      <c r="J20" s="178">
        <f aca="true" t="shared" si="6" ref="J20:J46">F20/D20*100</f>
        <v>104.2131405698636</v>
      </c>
      <c r="K20" s="178">
        <f>K21+K25+K26+K27</f>
        <v>37261.33999999998</v>
      </c>
      <c r="L20" s="136"/>
      <c r="M20" s="35">
        <f>E20-жовтень!E20</f>
        <v>11129.600000000006</v>
      </c>
      <c r="N20" s="35">
        <f>F20-жовтень!F20</f>
        <v>15054.460000000021</v>
      </c>
      <c r="O20" s="47">
        <f t="shared" si="3"/>
        <v>3924.860000000015</v>
      </c>
      <c r="P20" s="50">
        <f t="shared" si="5"/>
        <v>135.26505894192076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102865</v>
      </c>
      <c r="G21" s="43">
        <f t="shared" si="0"/>
        <v>-1650</v>
      </c>
      <c r="H21" s="35">
        <f t="shared" si="4"/>
        <v>98.42127924221403</v>
      </c>
      <c r="I21" s="50">
        <f t="shared" si="1"/>
        <v>-7435</v>
      </c>
      <c r="J21" s="178">
        <f t="shared" si="6"/>
        <v>93.25929283771532</v>
      </c>
      <c r="K21" s="178">
        <f>K22+K23+K24</f>
        <v>27412.259999999995</v>
      </c>
      <c r="L21" s="136"/>
      <c r="M21" s="35">
        <f>E21-жовтень!E21</f>
        <v>8232.600000000006</v>
      </c>
      <c r="N21" s="35">
        <f>F21-жовтень!F21</f>
        <v>2090.2100000000064</v>
      </c>
      <c r="O21" s="47">
        <f t="shared" si="3"/>
        <v>-6142.389999999999</v>
      </c>
      <c r="P21" s="50">
        <f t="shared" si="5"/>
        <v>25.389427398391817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12623.01</v>
      </c>
      <c r="G22" s="135">
        <f t="shared" si="0"/>
        <v>1923.0100000000002</v>
      </c>
      <c r="H22" s="137">
        <f t="shared" si="4"/>
        <v>117.97205607476636</v>
      </c>
      <c r="I22" s="136">
        <f t="shared" si="1"/>
        <v>1923.0100000000002</v>
      </c>
      <c r="J22" s="136">
        <f t="shared" si="6"/>
        <v>117.97205607476636</v>
      </c>
      <c r="K22" s="136">
        <f>F22-454.97</f>
        <v>12168.04</v>
      </c>
      <c r="L22" s="136">
        <f>F22/454.97*100</f>
        <v>2774.4708442314877</v>
      </c>
      <c r="M22" s="137">
        <f>E22-жовтень!E22</f>
        <v>54.600000000000364</v>
      </c>
      <c r="N22" s="137">
        <f>F22-жовтень!F22</f>
        <v>136.88000000000102</v>
      </c>
      <c r="O22" s="138">
        <f t="shared" si="3"/>
        <v>82.28000000000065</v>
      </c>
      <c r="P22" s="136">
        <f t="shared" si="5"/>
        <v>250.69597069597086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3611.54</v>
      </c>
      <c r="G23" s="135">
        <f t="shared" si="0"/>
        <v>1511.54</v>
      </c>
      <c r="H23" s="137">
        <f t="shared" si="4"/>
        <v>171.97809523809525</v>
      </c>
      <c r="I23" s="136">
        <f t="shared" si="1"/>
        <v>1511.54</v>
      </c>
      <c r="J23" s="136">
        <f t="shared" si="6"/>
        <v>171.97809523809525</v>
      </c>
      <c r="K23" s="136">
        <f>F23-0</f>
        <v>3611.54</v>
      </c>
      <c r="L23" s="136"/>
      <c r="M23" s="137">
        <f>E23-жовтень!E23</f>
        <v>8</v>
      </c>
      <c r="N23" s="137">
        <f>F23-жовтень!F23</f>
        <v>117.57999999999993</v>
      </c>
      <c r="O23" s="138">
        <f t="shared" si="3"/>
        <v>109.57999999999993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86630.45</v>
      </c>
      <c r="G24" s="135">
        <f t="shared" si="0"/>
        <v>-5084.550000000003</v>
      </c>
      <c r="H24" s="137">
        <f t="shared" si="4"/>
        <v>94.45614130731069</v>
      </c>
      <c r="I24" s="136">
        <f t="shared" si="1"/>
        <v>-10869.550000000003</v>
      </c>
      <c r="J24" s="136">
        <f t="shared" si="6"/>
        <v>88.85174358974358</v>
      </c>
      <c r="K24" s="224">
        <f>F24-74997.77</f>
        <v>11632.679999999993</v>
      </c>
      <c r="L24" s="224">
        <f>F24/74997.77*100</f>
        <v>115.51070118484856</v>
      </c>
      <c r="M24" s="137">
        <f>E24-жовтень!E24</f>
        <v>8170</v>
      </c>
      <c r="N24" s="137">
        <f>F24-жовтень!F24</f>
        <v>1835.75</v>
      </c>
      <c r="O24" s="138">
        <f t="shared" si="3"/>
        <v>-6334.25</v>
      </c>
      <c r="P24" s="136">
        <f t="shared" si="5"/>
        <v>22.46940024479804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75.53</v>
      </c>
      <c r="G25" s="43">
        <f t="shared" si="0"/>
        <v>12.030000000000001</v>
      </c>
      <c r="H25" s="35">
        <f t="shared" si="4"/>
        <v>118.94488188976378</v>
      </c>
      <c r="I25" s="50">
        <f t="shared" si="1"/>
        <v>5.530000000000001</v>
      </c>
      <c r="J25" s="178">
        <f t="shared" si="6"/>
        <v>107.89999999999999</v>
      </c>
      <c r="K25" s="178">
        <f>F25-65.36</f>
        <v>10.170000000000002</v>
      </c>
      <c r="L25" s="178">
        <f>F25/65.36*100</f>
        <v>115.55997552019583</v>
      </c>
      <c r="M25" s="35">
        <f>E25-жовтень!E25</f>
        <v>12</v>
      </c>
      <c r="N25" s="35">
        <f>F25-жовтень!F25</f>
        <v>14.89</v>
      </c>
      <c r="O25" s="47">
        <f t="shared" si="3"/>
        <v>2.8900000000000006</v>
      </c>
      <c r="P25" s="50">
        <f t="shared" si="5"/>
        <v>124.08333333333334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-760.41</v>
      </c>
      <c r="G26" s="43">
        <f t="shared" si="0"/>
        <v>-760.41</v>
      </c>
      <c r="H26" s="35"/>
      <c r="I26" s="50">
        <f t="shared" si="1"/>
        <v>-760.41</v>
      </c>
      <c r="J26" s="136"/>
      <c r="K26" s="178">
        <f>F26-5772.25</f>
        <v>-6532.66</v>
      </c>
      <c r="L26" s="178">
        <f>F26/5772.25*100</f>
        <v>-13.173545844341461</v>
      </c>
      <c r="M26" s="35">
        <f>E26-жовтень!E26</f>
        <v>0</v>
      </c>
      <c r="N26" s="35">
        <f>F26-жовтень!F26</f>
        <v>-19.469999999999914</v>
      </c>
      <c r="O26" s="47">
        <f t="shared" si="3"/>
        <v>-19.469999999999914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95689.37</v>
      </c>
      <c r="G27" s="43">
        <f t="shared" si="0"/>
        <v>18944.369999999995</v>
      </c>
      <c r="H27" s="35">
        <f t="shared" si="4"/>
        <v>124.6848263730536</v>
      </c>
      <c r="I27" s="50">
        <f t="shared" si="1"/>
        <v>16189.369999999995</v>
      </c>
      <c r="J27" s="178">
        <f t="shared" si="6"/>
        <v>120.36398742138363</v>
      </c>
      <c r="K27" s="132">
        <f>F27-79317.8</f>
        <v>16371.569999999992</v>
      </c>
      <c r="L27" s="132">
        <f>F27/79317.8*100</f>
        <v>120.6404741432566</v>
      </c>
      <c r="M27" s="35">
        <f>E27-жовтень!E27</f>
        <v>2885</v>
      </c>
      <c r="N27" s="35">
        <f>F27-жовтень!F27</f>
        <v>12968.830000000002</v>
      </c>
      <c r="O27" s="47">
        <f t="shared" si="3"/>
        <v>10083.830000000002</v>
      </c>
      <c r="P27" s="50">
        <f t="shared" si="5"/>
        <v>449.5261698440209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23152.88</v>
      </c>
      <c r="G29" s="135">
        <f t="shared" si="0"/>
        <v>4342.880000000001</v>
      </c>
      <c r="H29" s="137">
        <f t="shared" si="4"/>
        <v>123.0881446039341</v>
      </c>
      <c r="I29" s="136">
        <f t="shared" si="1"/>
        <v>3952.880000000001</v>
      </c>
      <c r="J29" s="136">
        <f t="shared" si="6"/>
        <v>120.58791666666666</v>
      </c>
      <c r="K29" s="139">
        <f>F29-22211.27</f>
        <v>941.6100000000006</v>
      </c>
      <c r="L29" s="139">
        <f>F29/22211.27*100</f>
        <v>104.23933435593733</v>
      </c>
      <c r="M29" s="137">
        <f>E29-жовтень!E29</f>
        <v>730</v>
      </c>
      <c r="N29" s="137">
        <f>F29-жовтень!F29</f>
        <v>3189.5499999999993</v>
      </c>
      <c r="O29" s="138">
        <f t="shared" si="3"/>
        <v>2459.5499999999993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72508.55</v>
      </c>
      <c r="G30" s="135">
        <f t="shared" si="0"/>
        <v>14573.550000000003</v>
      </c>
      <c r="H30" s="137">
        <f t="shared" si="4"/>
        <v>125.15500129455425</v>
      </c>
      <c r="I30" s="136">
        <f t="shared" si="1"/>
        <v>12208.550000000003</v>
      </c>
      <c r="J30" s="136">
        <f t="shared" si="6"/>
        <v>120.24635157545606</v>
      </c>
      <c r="K30" s="139">
        <f>F30-57105.32</f>
        <v>15403.230000000003</v>
      </c>
      <c r="L30" s="139">
        <f>F30/57105.32*100</f>
        <v>126.97337130761197</v>
      </c>
      <c r="M30" s="137">
        <f>E30-жовтень!E30</f>
        <v>2155</v>
      </c>
      <c r="N30" s="137">
        <f>F30-жовтень!F30</f>
        <v>9779.060000000005</v>
      </c>
      <c r="O30" s="138">
        <f t="shared" si="3"/>
        <v>7624.060000000005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29.13</v>
      </c>
      <c r="G31" s="135">
        <f t="shared" si="0"/>
        <v>29.13</v>
      </c>
      <c r="H31" s="137"/>
      <c r="I31" s="136">
        <f t="shared" si="1"/>
        <v>29.13</v>
      </c>
      <c r="J31" s="136"/>
      <c r="K31" s="139">
        <f>F31-0</f>
        <v>29.13</v>
      </c>
      <c r="L31" s="139"/>
      <c r="M31" s="137">
        <f>E31-жовтень!E31</f>
        <v>0</v>
      </c>
      <c r="N31" s="137">
        <f>F31-жовтень!F31</f>
        <v>0.23999999999999844</v>
      </c>
      <c r="O31" s="138">
        <f t="shared" si="3"/>
        <v>0.23999999999999844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6262.41</v>
      </c>
      <c r="G32" s="43">
        <f t="shared" si="0"/>
        <v>-1237.3900000000003</v>
      </c>
      <c r="H32" s="35">
        <f t="shared" si="4"/>
        <v>83.50102669404517</v>
      </c>
      <c r="I32" s="50">
        <f t="shared" si="1"/>
        <v>-1237.5900000000001</v>
      </c>
      <c r="J32" s="178">
        <f t="shared" si="6"/>
        <v>83.49879999999999</v>
      </c>
      <c r="K32" s="178">
        <f>F32-7378.96</f>
        <v>-1116.5500000000002</v>
      </c>
      <c r="L32" s="178">
        <f>F32/7378.96*100</f>
        <v>84.86846384856402</v>
      </c>
      <c r="M32" s="35">
        <f>E32-жовтень!E32</f>
        <v>1740.5</v>
      </c>
      <c r="N32" s="35">
        <f>F32-жовтень!F32</f>
        <v>676.6599999999999</v>
      </c>
      <c r="O32" s="47">
        <f t="shared" si="3"/>
        <v>-1063.8400000000001</v>
      </c>
      <c r="P32" s="50">
        <f t="shared" si="5"/>
        <v>38.87733409939671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F34+F35+F36+F37+F38+F41+F42+F47+F48+F52+F40+F39+F51</f>
        <v>41296.45</v>
      </c>
      <c r="G33" s="44">
        <f t="shared" si="0"/>
        <v>7051.879999999997</v>
      </c>
      <c r="H33" s="45">
        <f t="shared" si="4"/>
        <v>120.59269542587334</v>
      </c>
      <c r="I33" s="31">
        <f t="shared" si="1"/>
        <v>5656.879999999997</v>
      </c>
      <c r="J33" s="31">
        <f t="shared" si="6"/>
        <v>115.87246984180786</v>
      </c>
      <c r="K33" s="18">
        <f>K34+K35+K36+K37+K38+K41+K42+K47+K48+K52+K40</f>
        <v>29396.79</v>
      </c>
      <c r="L33" s="18"/>
      <c r="M33" s="18">
        <f>M34+M35+M36+M37+M38+M41+M42+M47+M48+M52+M40+M39</f>
        <v>1694.3000000000002</v>
      </c>
      <c r="N33" s="18">
        <f>N34+N35+N36+N37+N38+N41+N42+N47+N48+N52+N40+N39</f>
        <v>6214.769999999999</v>
      </c>
      <c r="O33" s="49">
        <f t="shared" si="3"/>
        <v>4520.469999999998</v>
      </c>
      <c r="P33" s="31">
        <f>N33/M33*100</f>
        <v>366.8045800625626</v>
      </c>
      <c r="Q33" s="31">
        <f>N33-1017.63</f>
        <v>5197.1399999999985</v>
      </c>
      <c r="R33" s="127">
        <f>N33/1017.63</f>
        <v>6.107101795348013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0.04</v>
      </c>
      <c r="G34" s="43">
        <f t="shared" si="0"/>
        <v>-99.96</v>
      </c>
      <c r="H34" s="35">
        <f t="shared" si="4"/>
        <v>0.04</v>
      </c>
      <c r="I34" s="50">
        <f t="shared" si="1"/>
        <v>0.04</v>
      </c>
      <c r="J34" s="50" t="e">
        <f t="shared" si="6"/>
        <v>#DIV/0!</v>
      </c>
      <c r="K34" s="50">
        <f>F34-153.52</f>
        <v>-153.48000000000002</v>
      </c>
      <c r="L34" s="50">
        <f>F34/153.52*100</f>
        <v>0.02605523710265763</v>
      </c>
      <c r="M34" s="35">
        <f>E34-жовтень!E34</f>
        <v>0</v>
      </c>
      <c r="N34" s="35">
        <f>F34-жовтень!F34</f>
        <v>57.83</v>
      </c>
      <c r="O34" s="47">
        <f t="shared" si="3"/>
        <v>57.83</v>
      </c>
      <c r="P34" s="50" t="e">
        <f>N34/M34*100</f>
        <v>#DIV/0!</v>
      </c>
      <c r="Q34" s="50">
        <f>N34-0</f>
        <v>57.83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</f>
        <v>8042.570000000001</v>
      </c>
      <c r="E35" s="36">
        <f>7882.47+1</f>
        <v>7883.47</v>
      </c>
      <c r="F35" s="143">
        <v>12874.31</v>
      </c>
      <c r="G35" s="43">
        <f t="shared" si="0"/>
        <v>4990.839999999999</v>
      </c>
      <c r="H35" s="35">
        <f t="shared" si="4"/>
        <v>163.30765513156007</v>
      </c>
      <c r="I35" s="50">
        <f t="shared" si="1"/>
        <v>4831.739999999999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251</v>
      </c>
      <c r="N35" s="35">
        <f>F35-жовтень!F35</f>
        <v>4439.379999999999</v>
      </c>
      <c r="O35" s="47">
        <f t="shared" si="3"/>
        <v>4188.379999999999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368.91</v>
      </c>
      <c r="G36" s="43">
        <f t="shared" si="0"/>
        <v>128.91000000000003</v>
      </c>
      <c r="H36" s="35">
        <f t="shared" si="4"/>
        <v>153.7125</v>
      </c>
      <c r="I36" s="50">
        <f t="shared" si="1"/>
        <v>128.91000000000003</v>
      </c>
      <c r="J36" s="50"/>
      <c r="K36" s="50">
        <f>F36-242.79</f>
        <v>126.12000000000003</v>
      </c>
      <c r="L36" s="50">
        <f>F36/242.79*100</f>
        <v>151.94612628197208</v>
      </c>
      <c r="M36" s="35">
        <f>E36-жовтень!E36</f>
        <v>0</v>
      </c>
      <c r="N36" s="35">
        <f>F36-жовтень!F36</f>
        <v>19.100000000000023</v>
      </c>
      <c r="O36" s="47">
        <f t="shared" si="3"/>
        <v>19.100000000000023</v>
      </c>
      <c r="P36" s="50"/>
      <c r="Q36" s="50">
        <f>N36-4.23</f>
        <v>14.870000000000022</v>
      </c>
      <c r="R36" s="126">
        <f>N36/4.23</f>
        <v>4.515366430260052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0</v>
      </c>
      <c r="G37" s="43">
        <f t="shared" si="0"/>
        <v>-4.5</v>
      </c>
      <c r="H37" s="35">
        <f t="shared" si="4"/>
        <v>0</v>
      </c>
      <c r="I37" s="50">
        <f t="shared" si="1"/>
        <v>0</v>
      </c>
      <c r="J37" s="50" t="e">
        <f t="shared" si="6"/>
        <v>#DIV/0!</v>
      </c>
      <c r="K37" s="50">
        <f>F37-5.94</f>
        <v>-5.94</v>
      </c>
      <c r="L37" s="50">
        <f>F37/5.94*100</f>
        <v>0</v>
      </c>
      <c r="M37" s="35">
        <f>E37-жовтень!E37</f>
        <v>0</v>
      </c>
      <c r="N37" s="35">
        <f>F37-жовтень!F37</f>
        <v>0</v>
      </c>
      <c r="O37" s="47">
        <f t="shared" si="3"/>
        <v>0</v>
      </c>
      <c r="P37" s="50" t="e">
        <f>N37/M37*100</f>
        <v>#DIV/0!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262.98</v>
      </c>
      <c r="G38" s="43">
        <f t="shared" si="0"/>
        <v>132.98000000000002</v>
      </c>
      <c r="H38" s="35">
        <f t="shared" si="4"/>
        <v>202.29230769230773</v>
      </c>
      <c r="I38" s="50">
        <f t="shared" si="1"/>
        <v>122.98000000000002</v>
      </c>
      <c r="J38" s="50">
        <f t="shared" si="6"/>
        <v>187.84285714285716</v>
      </c>
      <c r="K38" s="50">
        <f>F38-121.56</f>
        <v>141.42000000000002</v>
      </c>
      <c r="L38" s="50">
        <f>F38/121.56*100</f>
        <v>216.3376110562685</v>
      </c>
      <c r="M38" s="35">
        <f>E38-жовтень!E38</f>
        <v>10</v>
      </c>
      <c r="N38" s="35">
        <f>F38-жовтень!F38</f>
        <v>7.110000000000014</v>
      </c>
      <c r="O38" s="47">
        <f t="shared" si="3"/>
        <v>-2.8899999999999864</v>
      </c>
      <c r="P38" s="50">
        <f>N38/M38*100</f>
        <v>71.10000000000014</v>
      </c>
      <c r="Q38" s="50">
        <f>N38-9.02</f>
        <v>-1.909999999999986</v>
      </c>
      <c r="R38" s="126">
        <f>N38/9.02</f>
        <v>0.7882483370288264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8745.41</v>
      </c>
      <c r="G40" s="43">
        <f t="shared" si="0"/>
        <v>-154.59000000000015</v>
      </c>
      <c r="H40" s="35">
        <f aca="true" t="shared" si="7" ref="H40:H46">F40/E40*100</f>
        <v>98.26303370786516</v>
      </c>
      <c r="I40" s="50">
        <f t="shared" si="1"/>
        <v>-254.59000000000015</v>
      </c>
      <c r="J40" s="50"/>
      <c r="K40" s="50">
        <f>F40-0</f>
        <v>8745.41</v>
      </c>
      <c r="L40" s="50"/>
      <c r="M40" s="35">
        <f>E40-жовтень!E40</f>
        <v>63</v>
      </c>
      <c r="N40" s="35">
        <f>F40-жовтень!F40</f>
        <v>361.7099999999991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6557.67</v>
      </c>
      <c r="G42" s="43">
        <f t="shared" si="0"/>
        <v>-253.9300000000003</v>
      </c>
      <c r="H42" s="35">
        <f t="shared" si="7"/>
        <v>96.2720946620471</v>
      </c>
      <c r="I42" s="50">
        <f t="shared" si="1"/>
        <v>-542.3299999999999</v>
      </c>
      <c r="J42" s="50">
        <f t="shared" si="6"/>
        <v>92.36154929577465</v>
      </c>
      <c r="K42" s="50">
        <f>F42-975.44</f>
        <v>5582.23</v>
      </c>
      <c r="L42" s="50">
        <f>F42/975.44*100</f>
        <v>672.2781513983433</v>
      </c>
      <c r="M42" s="35">
        <f>E42-жовтень!E42</f>
        <v>420.3000000000002</v>
      </c>
      <c r="N42" s="35">
        <f>F42-жовтень!F42</f>
        <v>370.1199999999999</v>
      </c>
      <c r="O42" s="47">
        <f t="shared" si="3"/>
        <v>-50.18000000000029</v>
      </c>
      <c r="P42" s="50">
        <f>N42/M42*100</f>
        <v>88.0609088746133</v>
      </c>
      <c r="Q42" s="50">
        <f>N42-79.51</f>
        <v>290.6099999999999</v>
      </c>
      <c r="R42" s="126">
        <f>N42/79.51</f>
        <v>4.655011948182617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988.89</v>
      </c>
      <c r="G43" s="135">
        <f t="shared" si="0"/>
        <v>-21.110000000000014</v>
      </c>
      <c r="H43" s="35">
        <f t="shared" si="7"/>
        <v>97.909900990099</v>
      </c>
      <c r="I43" s="136">
        <f t="shared" si="1"/>
        <v>-111.11000000000001</v>
      </c>
      <c r="J43" s="136">
        <f t="shared" si="6"/>
        <v>89.8990909090909</v>
      </c>
      <c r="K43" s="136">
        <f>F43-857.86</f>
        <v>131.02999999999997</v>
      </c>
      <c r="L43" s="136">
        <f>F43/857.86*100</f>
        <v>115.27405404145199</v>
      </c>
      <c r="M43" s="137">
        <f>E43-жовтень!E43</f>
        <v>100</v>
      </c>
      <c r="N43" s="137">
        <f>F43-жовтень!F43</f>
        <v>105.12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5523.92</v>
      </c>
      <c r="G46" s="135">
        <f t="shared" si="0"/>
        <v>-196.07999999999993</v>
      </c>
      <c r="H46" s="35">
        <f t="shared" si="7"/>
        <v>96.57202797202797</v>
      </c>
      <c r="I46" s="136">
        <f t="shared" si="1"/>
        <v>-394.0799999999999</v>
      </c>
      <c r="J46" s="136">
        <f t="shared" si="6"/>
        <v>93.34099357891179</v>
      </c>
      <c r="K46" s="136">
        <f>F46-117.58</f>
        <v>5406.34</v>
      </c>
      <c r="L46" s="136">
        <f>F46/117.58*100</f>
        <v>4698.009865623406</v>
      </c>
      <c r="M46" s="137">
        <f>E46-жовтень!E46</f>
        <v>310</v>
      </c>
      <c r="N46" s="137">
        <f>F46-жовтень!F46</f>
        <v>265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4282.41</v>
      </c>
      <c r="G48" s="43">
        <f t="shared" si="0"/>
        <v>462.40999999999985</v>
      </c>
      <c r="H48" s="35">
        <f>F48/E48*100</f>
        <v>112.10497382198952</v>
      </c>
      <c r="I48" s="50">
        <f t="shared" si="1"/>
        <v>82.40999999999985</v>
      </c>
      <c r="J48" s="50">
        <f>F48/D48*100</f>
        <v>101.96214285714285</v>
      </c>
      <c r="K48" s="50">
        <f>F48-3812.69</f>
        <v>469.7199999999998</v>
      </c>
      <c r="L48" s="50">
        <f>F48/3812.69*100</f>
        <v>112.31991061429069</v>
      </c>
      <c r="M48" s="35">
        <f>E48-жовтень!E48</f>
        <v>370</v>
      </c>
      <c r="N48" s="35">
        <f>F48-жовтень!F48</f>
        <v>271.55999999999995</v>
      </c>
      <c r="O48" s="47">
        <f t="shared" si="3"/>
        <v>-98.44000000000005</v>
      </c>
      <c r="P48" s="50">
        <f aca="true" t="shared" si="8" ref="P48:P53">N48/M48*100</f>
        <v>73.39459459459458</v>
      </c>
      <c r="Q48" s="50">
        <f>N48-277.38</f>
        <v>-5.82000000000005</v>
      </c>
      <c r="R48" s="126">
        <f>N48/277.38</f>
        <v>0.9790179537097121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1122.9</v>
      </c>
      <c r="G50" s="135">
        <f t="shared" si="0"/>
        <v>1122.9</v>
      </c>
      <c r="H50" s="137"/>
      <c r="I50" s="136">
        <f t="shared" si="1"/>
        <v>1122.9</v>
      </c>
      <c r="J50" s="136"/>
      <c r="K50" s="138">
        <f>F50-926.78</f>
        <v>196.12000000000012</v>
      </c>
      <c r="L50" s="138">
        <f>F50/926.78*100</f>
        <v>121.16144068711023</v>
      </c>
      <c r="M50" s="137">
        <f>E50-жовтень!E51</f>
        <v>0</v>
      </c>
      <c r="N50" s="137">
        <f>F50-жовтень!F51</f>
        <v>78.60000000000014</v>
      </c>
      <c r="O50" s="138">
        <f t="shared" si="3"/>
        <v>78.60000000000014</v>
      </c>
      <c r="P50" s="136"/>
      <c r="Q50" s="50">
        <f>N50-64.93</f>
        <v>13.67000000000013</v>
      </c>
      <c r="R50" s="126">
        <f>N50/64.93</f>
        <v>1.2105344216848934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/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0.52</v>
      </c>
      <c r="G54" s="43">
        <f t="shared" si="0"/>
        <v>0.52</v>
      </c>
      <c r="H54" s="35"/>
      <c r="I54" s="50">
        <f t="shared" si="1"/>
        <v>0.52</v>
      </c>
      <c r="J54" s="50"/>
      <c r="K54" s="50">
        <f>F54-0.37</f>
        <v>0.15000000000000002</v>
      </c>
      <c r="L54" s="50"/>
      <c r="M54" s="35">
        <f>E54-жовтень!E54</f>
        <v>0</v>
      </c>
      <c r="N54" s="35">
        <f>F54-жовтень!F54</f>
        <v>0.21000000000000002</v>
      </c>
      <c r="O54" s="47">
        <f t="shared" si="3"/>
        <v>0.21000000000000002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617994.5500000002</v>
      </c>
      <c r="G55" s="44">
        <f>F55-E55</f>
        <v>43082.6100000001</v>
      </c>
      <c r="H55" s="45">
        <f>F55/E55*100</f>
        <v>107.49377548151115</v>
      </c>
      <c r="I55" s="31">
        <f>F55-D55</f>
        <v>10039.480000000214</v>
      </c>
      <c r="J55" s="31">
        <f>F55/D55*100</f>
        <v>101.65135229483326</v>
      </c>
      <c r="K55" s="31">
        <f>K8+K33+K53+K54</f>
        <v>160046.71600000001</v>
      </c>
      <c r="L55" s="31">
        <f>F55/(F55-K55)*100</f>
        <v>134.94867845580856</v>
      </c>
      <c r="M55" s="18">
        <f>M8+M33+M53+M54</f>
        <v>38814.600000000006</v>
      </c>
      <c r="N55" s="18">
        <f>N8+N33+N53+N54</f>
        <v>40305.41000000002</v>
      </c>
      <c r="O55" s="49">
        <f>N55-M55</f>
        <v>1490.8100000000122</v>
      </c>
      <c r="P55" s="31">
        <f>N55/M55*100</f>
        <v>103.84084854668092</v>
      </c>
      <c r="Q55" s="31">
        <f>N55-34768</f>
        <v>5537.410000000018</v>
      </c>
      <c r="R55" s="171">
        <f>N55/34768</f>
        <v>1.1592674298205252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618.95</v>
      </c>
      <c r="G64" s="43">
        <f t="shared" si="9"/>
        <v>-1881.05</v>
      </c>
      <c r="H64" s="35"/>
      <c r="I64" s="53">
        <f t="shared" si="10"/>
        <v>-1881.05</v>
      </c>
      <c r="J64" s="53">
        <f t="shared" si="12"/>
        <v>24.758000000000003</v>
      </c>
      <c r="K64" s="53">
        <f>F64-1921.61</f>
        <v>-1302.6599999999999</v>
      </c>
      <c r="L64" s="53">
        <f>F64/1921.61*100</f>
        <v>32.209969764936695</v>
      </c>
      <c r="M64" s="35">
        <f>E64-жовтень!E64</f>
        <v>900</v>
      </c>
      <c r="N64" s="35">
        <f>F64-жовтень!F64</f>
        <v>25.82000000000005</v>
      </c>
      <c r="O64" s="47">
        <f t="shared" si="11"/>
        <v>-874.18</v>
      </c>
      <c r="P64" s="53"/>
      <c r="Q64" s="53">
        <f>N64-0.04</f>
        <v>25.78000000000005</v>
      </c>
      <c r="R64" s="129">
        <f>N64/0.04</f>
        <v>645.5000000000013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8108.15</v>
      </c>
      <c r="G65" s="43">
        <f t="shared" si="9"/>
        <v>347.4200000000001</v>
      </c>
      <c r="H65" s="35">
        <f>F65/E65*100</f>
        <v>104.47664072838509</v>
      </c>
      <c r="I65" s="53">
        <f t="shared" si="10"/>
        <v>-3467.8500000000004</v>
      </c>
      <c r="J65" s="53">
        <f t="shared" si="12"/>
        <v>70.0427608845888</v>
      </c>
      <c r="K65" s="53">
        <f>F65-3828.89</f>
        <v>4279.26</v>
      </c>
      <c r="L65" s="53">
        <f>F65/3828.89*100</f>
        <v>211.76241678397653</v>
      </c>
      <c r="M65" s="35">
        <f>E65-жовтень!E65</f>
        <v>1024.75</v>
      </c>
      <c r="N65" s="35">
        <f>F65-жовтень!F65</f>
        <v>896.0699999999997</v>
      </c>
      <c r="O65" s="47">
        <f t="shared" si="11"/>
        <v>-128.6800000000003</v>
      </c>
      <c r="P65" s="53">
        <f>N65/M65*100</f>
        <v>87.44279092461574</v>
      </c>
      <c r="Q65" s="53">
        <f>N65-450.01</f>
        <v>446.0599999999997</v>
      </c>
      <c r="R65" s="129">
        <f>N65/450.01</f>
        <v>1.9912224172796154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2272.23</v>
      </c>
      <c r="G66" s="43">
        <f t="shared" si="9"/>
        <v>791.23</v>
      </c>
      <c r="H66" s="35">
        <f>F66/E66*100</f>
        <v>153.42538825118163</v>
      </c>
      <c r="I66" s="53">
        <f t="shared" si="10"/>
        <v>-727.77</v>
      </c>
      <c r="J66" s="53">
        <f t="shared" si="12"/>
        <v>75.741</v>
      </c>
      <c r="K66" s="53">
        <f>F66-2012.55</f>
        <v>259.68000000000006</v>
      </c>
      <c r="L66" s="53">
        <f>F66/2012.55*100</f>
        <v>112.90303346500707</v>
      </c>
      <c r="M66" s="35">
        <f>E66-жовтень!E66</f>
        <v>148.0999999999999</v>
      </c>
      <c r="N66" s="35">
        <f>F66-жовтень!F66</f>
        <v>208.80000000000018</v>
      </c>
      <c r="O66" s="47">
        <f t="shared" si="11"/>
        <v>60.70000000000027</v>
      </c>
      <c r="P66" s="53">
        <f>N66/M66*100</f>
        <v>140.98582039162747</v>
      </c>
      <c r="Q66" s="53">
        <f>N66-1.05</f>
        <v>207.75000000000017</v>
      </c>
      <c r="R66" s="129">
        <f>N66/1.05</f>
        <v>198.85714285714303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10999.33</v>
      </c>
      <c r="G67" s="55">
        <f t="shared" si="9"/>
        <v>-742.3999999999996</v>
      </c>
      <c r="H67" s="65">
        <f>F67/E67*100</f>
        <v>93.67725198927245</v>
      </c>
      <c r="I67" s="54">
        <f t="shared" si="10"/>
        <v>-6076.67</v>
      </c>
      <c r="J67" s="54">
        <f t="shared" si="12"/>
        <v>64.41397282736003</v>
      </c>
      <c r="K67" s="54">
        <f>K64+K65+K66</f>
        <v>3236.2800000000007</v>
      </c>
      <c r="L67" s="54"/>
      <c r="M67" s="55">
        <f>M64+M65+M66</f>
        <v>2072.85</v>
      </c>
      <c r="N67" s="55">
        <f>N64+N65+N66</f>
        <v>1130.69</v>
      </c>
      <c r="O67" s="54">
        <f t="shared" si="11"/>
        <v>-942.1599999999999</v>
      </c>
      <c r="P67" s="54">
        <f>N67/M67*100</f>
        <v>54.54760354101841</v>
      </c>
      <c r="Q67" s="54">
        <f>N67-7985.28</f>
        <v>-6854.59</v>
      </c>
      <c r="R67" s="173">
        <f>N67/7985.28</f>
        <v>0.14159678809008577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10976.53</v>
      </c>
      <c r="G74" s="44">
        <f>F74-E74</f>
        <v>-848.619999999999</v>
      </c>
      <c r="H74" s="45">
        <f>F74/E74*100</f>
        <v>92.82360054629329</v>
      </c>
      <c r="I74" s="31">
        <f>F74-D74</f>
        <v>-6195.469999999999</v>
      </c>
      <c r="J74" s="31">
        <f>F74/D74*100</f>
        <v>63.92109247612393</v>
      </c>
      <c r="K74" s="31">
        <f>K62+K67+K71+K72</f>
        <v>2838.460000000001</v>
      </c>
      <c r="L74" s="31"/>
      <c r="M74" s="27">
        <f>M62+M72+M67+M71</f>
        <v>2073.85</v>
      </c>
      <c r="N74" s="27">
        <f>N62+N72+N67+N71+N73</f>
        <v>1130.93</v>
      </c>
      <c r="O74" s="31">
        <f>N74-M74</f>
        <v>-942.9199999999998</v>
      </c>
      <c r="P74" s="31">
        <f>N74/M74*100</f>
        <v>54.53287364081299</v>
      </c>
      <c r="Q74" s="31">
        <f>N74-8104.96</f>
        <v>-6974.03</v>
      </c>
      <c r="R74" s="127">
        <f>N74/8104.96</f>
        <v>0.1395355436670878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628971.0800000002</v>
      </c>
      <c r="G75" s="44">
        <f>F75-E75</f>
        <v>42233.99000000011</v>
      </c>
      <c r="H75" s="45">
        <f>F75/E75*100</f>
        <v>107.19811150851228</v>
      </c>
      <c r="I75" s="31">
        <f>F75-D75</f>
        <v>3844.010000000242</v>
      </c>
      <c r="J75" s="31">
        <f>F75/D75*100</f>
        <v>100.6149165800803</v>
      </c>
      <c r="K75" s="31">
        <f>K55+K74</f>
        <v>162885.176</v>
      </c>
      <c r="L75" s="31">
        <f>F75/(F75-K75)*100</f>
        <v>134.94745809776728</v>
      </c>
      <c r="M75" s="18">
        <f>M55+M74</f>
        <v>40888.450000000004</v>
      </c>
      <c r="N75" s="18">
        <f>N55+N74</f>
        <v>41436.34000000002</v>
      </c>
      <c r="O75" s="31">
        <f>N75-M75</f>
        <v>547.890000000014</v>
      </c>
      <c r="P75" s="31">
        <f>N75/M75*100</f>
        <v>101.33996275231763</v>
      </c>
      <c r="Q75" s="31">
        <f>N75-42872.96</f>
        <v>-1436.6199999999808</v>
      </c>
      <c r="R75" s="127">
        <f>N75/42872.96</f>
        <v>0.9664912336353734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8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42326</v>
      </c>
      <c r="D79" s="34">
        <v>2361.7</v>
      </c>
      <c r="G79" s="4" t="s">
        <v>166</v>
      </c>
      <c r="N79" s="237"/>
      <c r="O79" s="237"/>
    </row>
    <row r="80" spans="3:15" ht="15.75">
      <c r="C80" s="111">
        <v>42325</v>
      </c>
      <c r="D80" s="34">
        <v>2700.7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42324</v>
      </c>
      <c r="D81" s="34">
        <v>2363.2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35.30494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221</v>
      </c>
      <c r="N3" s="263" t="s">
        <v>202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199</v>
      </c>
      <c r="F4" s="246" t="s">
        <v>116</v>
      </c>
      <c r="G4" s="248" t="s">
        <v>200</v>
      </c>
      <c r="H4" s="250" t="s">
        <v>201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226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224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7"/>
      <c r="O105" s="237"/>
    </row>
    <row r="106" spans="3:15" ht="15.75">
      <c r="C106" s="111">
        <v>42061</v>
      </c>
      <c r="D106" s="34">
        <v>6003.3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42060</v>
      </c>
      <c r="D107" s="34">
        <v>1551.3</v>
      </c>
      <c r="G107" s="266" t="s">
        <v>151</v>
      </c>
      <c r="H107" s="266"/>
      <c r="I107" s="106"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74" t="s">
        <v>155</v>
      </c>
      <c r="H108" s="274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138305956.27/1000</f>
        <v>138305.95627000002</v>
      </c>
      <c r="E109" s="73"/>
      <c r="F109" s="156" t="s">
        <v>147</v>
      </c>
      <c r="G109" s="266" t="s">
        <v>149</v>
      </c>
      <c r="H109" s="266"/>
      <c r="I109" s="107">
        <v>129396.23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220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219</v>
      </c>
      <c r="F4" s="246" t="s">
        <v>116</v>
      </c>
      <c r="G4" s="248" t="s">
        <v>173</v>
      </c>
      <c r="H4" s="275" t="s">
        <v>174</v>
      </c>
      <c r="I4" s="277" t="s">
        <v>217</v>
      </c>
      <c r="J4" s="280" t="s">
        <v>218</v>
      </c>
      <c r="K4" s="116" t="s">
        <v>172</v>
      </c>
      <c r="L4" s="121" t="s">
        <v>171</v>
      </c>
      <c r="M4" s="242"/>
      <c r="N4" s="228" t="s">
        <v>194</v>
      </c>
      <c r="O4" s="277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76"/>
      <c r="I5" s="278"/>
      <c r="J5" s="281"/>
      <c r="K5" s="239" t="s">
        <v>188</v>
      </c>
      <c r="L5" s="240"/>
      <c r="M5" s="227"/>
      <c r="N5" s="226"/>
      <c r="O5" s="278"/>
      <c r="P5" s="263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1"/>
      <c r="H102" s="241"/>
      <c r="I102" s="241"/>
      <c r="J102" s="24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7"/>
      <c r="O103" s="237"/>
    </row>
    <row r="104" spans="3:15" ht="15.75">
      <c r="C104" s="111">
        <v>42033</v>
      </c>
      <c r="D104" s="34">
        <v>2896.5</v>
      </c>
      <c r="F104" s="155" t="s">
        <v>166</v>
      </c>
      <c r="G104" s="266" t="s">
        <v>151</v>
      </c>
      <c r="H104" s="266"/>
      <c r="I104" s="106">
        <f>'січень '!I139</f>
        <v>8909.733</v>
      </c>
      <c r="J104" s="279" t="s">
        <v>161</v>
      </c>
      <c r="K104" s="279"/>
      <c r="L104" s="279"/>
      <c r="M104" s="279"/>
      <c r="N104" s="237"/>
      <c r="O104" s="237"/>
    </row>
    <row r="105" spans="3:15" ht="15.75">
      <c r="C105" s="111">
        <v>42032</v>
      </c>
      <c r="D105" s="34">
        <v>2838.1</v>
      </c>
      <c r="G105" s="274" t="s">
        <v>155</v>
      </c>
      <c r="H105" s="274"/>
      <c r="I105" s="103">
        <f>'січень '!I140</f>
        <v>0</v>
      </c>
      <c r="J105" s="282" t="s">
        <v>162</v>
      </c>
      <c r="K105" s="282"/>
      <c r="L105" s="282"/>
      <c r="M105" s="282"/>
      <c r="N105" s="237"/>
      <c r="O105" s="237"/>
    </row>
    <row r="106" spans="7:13" ht="15.75" customHeight="1">
      <c r="G106" s="266" t="s">
        <v>148</v>
      </c>
      <c r="H106" s="266"/>
      <c r="I106" s="103">
        <f>'січень '!I141</f>
        <v>0</v>
      </c>
      <c r="J106" s="279" t="s">
        <v>163</v>
      </c>
      <c r="K106" s="279"/>
      <c r="L106" s="279"/>
      <c r="M106" s="279"/>
    </row>
    <row r="107" spans="2:13" ht="18.75" customHeight="1">
      <c r="B107" s="233" t="s">
        <v>160</v>
      </c>
      <c r="C107" s="234"/>
      <c r="D107" s="108">
        <f>'січень '!D142</f>
        <v>132375.63</v>
      </c>
      <c r="E107" s="73"/>
      <c r="F107" s="156" t="s">
        <v>147</v>
      </c>
      <c r="G107" s="266" t="s">
        <v>149</v>
      </c>
      <c r="H107" s="266"/>
      <c r="I107" s="107">
        <f>'січень '!I142</f>
        <v>123465.893</v>
      </c>
      <c r="J107" s="279" t="s">
        <v>164</v>
      </c>
      <c r="K107" s="279"/>
      <c r="L107" s="279"/>
      <c r="M107" s="279"/>
    </row>
    <row r="108" spans="7:12" ht="9.75" customHeight="1">
      <c r="G108" s="229"/>
      <c r="H108" s="229"/>
      <c r="I108" s="90"/>
      <c r="J108" s="91"/>
      <c r="K108" s="91"/>
      <c r="L108" s="91"/>
    </row>
    <row r="109" spans="2:12" ht="22.5" customHeight="1" hidden="1">
      <c r="B109" s="230" t="s">
        <v>167</v>
      </c>
      <c r="C109" s="231"/>
      <c r="D109" s="110">
        <v>0</v>
      </c>
      <c r="E109" s="70" t="s">
        <v>104</v>
      </c>
      <c r="G109" s="229"/>
      <c r="H109" s="229"/>
      <c r="I109" s="90"/>
      <c r="J109" s="91"/>
      <c r="K109" s="91"/>
      <c r="L109" s="91"/>
    </row>
    <row r="110" spans="4:15" ht="15.75">
      <c r="D110" s="105"/>
      <c r="N110" s="229"/>
      <c r="O110" s="229"/>
    </row>
    <row r="111" spans="4:15" ht="15.75">
      <c r="D111" s="104"/>
      <c r="I111" s="34"/>
      <c r="N111" s="232"/>
      <c r="O111" s="232"/>
    </row>
    <row r="112" spans="14:15" ht="15.75">
      <c r="N112" s="229"/>
      <c r="O112" s="22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203</v>
      </c>
      <c r="C3" s="257" t="s">
        <v>0</v>
      </c>
      <c r="D3" s="258" t="s">
        <v>190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187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153</v>
      </c>
      <c r="F4" s="246" t="s">
        <v>116</v>
      </c>
      <c r="G4" s="248" t="s">
        <v>173</v>
      </c>
      <c r="H4" s="275" t="s">
        <v>174</v>
      </c>
      <c r="I4" s="277" t="s">
        <v>186</v>
      </c>
      <c r="J4" s="280" t="s">
        <v>189</v>
      </c>
      <c r="K4" s="116" t="s">
        <v>172</v>
      </c>
      <c r="L4" s="121" t="s">
        <v>171</v>
      </c>
      <c r="M4" s="242"/>
      <c r="N4" s="228" t="s">
        <v>194</v>
      </c>
      <c r="O4" s="277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76"/>
      <c r="I5" s="278"/>
      <c r="J5" s="281"/>
      <c r="K5" s="239" t="s">
        <v>188</v>
      </c>
      <c r="L5" s="240"/>
      <c r="M5" s="227"/>
      <c r="N5" s="226"/>
      <c r="O5" s="278"/>
      <c r="P5" s="263"/>
      <c r="Q5" s="239" t="s">
        <v>176</v>
      </c>
      <c r="R5" s="24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1"/>
      <c r="H137" s="241"/>
      <c r="I137" s="241"/>
      <c r="J137" s="24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7"/>
      <c r="O138" s="237"/>
    </row>
    <row r="139" spans="3:15" ht="15.75">
      <c r="C139" s="111">
        <v>42033</v>
      </c>
      <c r="D139" s="34">
        <v>2896.5</v>
      </c>
      <c r="F139" s="155" t="s">
        <v>166</v>
      </c>
      <c r="G139" s="266" t="s">
        <v>151</v>
      </c>
      <c r="H139" s="266"/>
      <c r="I139" s="106">
        <f>8909.733</f>
        <v>8909.733</v>
      </c>
      <c r="J139" s="279" t="s">
        <v>161</v>
      </c>
      <c r="K139" s="279"/>
      <c r="L139" s="279"/>
      <c r="M139" s="279"/>
      <c r="N139" s="237"/>
      <c r="O139" s="237"/>
    </row>
    <row r="140" spans="3:15" ht="15.75">
      <c r="C140" s="111">
        <v>42032</v>
      </c>
      <c r="D140" s="34">
        <v>2838.1</v>
      </c>
      <c r="G140" s="274" t="s">
        <v>155</v>
      </c>
      <c r="H140" s="274"/>
      <c r="I140" s="103">
        <v>0</v>
      </c>
      <c r="J140" s="282" t="s">
        <v>162</v>
      </c>
      <c r="K140" s="282"/>
      <c r="L140" s="282"/>
      <c r="M140" s="282"/>
      <c r="N140" s="237"/>
      <c r="O140" s="237"/>
    </row>
    <row r="141" spans="7:13" ht="15.75" customHeight="1">
      <c r="G141" s="266" t="s">
        <v>148</v>
      </c>
      <c r="H141" s="266"/>
      <c r="I141" s="103">
        <v>0</v>
      </c>
      <c r="J141" s="279" t="s">
        <v>163</v>
      </c>
      <c r="K141" s="279"/>
      <c r="L141" s="279"/>
      <c r="M141" s="279"/>
    </row>
    <row r="142" spans="2:13" ht="18.75" customHeight="1">
      <c r="B142" s="233" t="s">
        <v>160</v>
      </c>
      <c r="C142" s="234"/>
      <c r="D142" s="108">
        <f>132375.63</f>
        <v>132375.63</v>
      </c>
      <c r="E142" s="73"/>
      <c r="F142" s="156" t="s">
        <v>147</v>
      </c>
      <c r="G142" s="266" t="s">
        <v>149</v>
      </c>
      <c r="H142" s="266"/>
      <c r="I142" s="107">
        <f>123465.893</f>
        <v>123465.893</v>
      </c>
      <c r="J142" s="279" t="s">
        <v>164</v>
      </c>
      <c r="K142" s="279"/>
      <c r="L142" s="279"/>
      <c r="M142" s="279"/>
    </row>
    <row r="143" spans="7:12" ht="9.75" customHeight="1">
      <c r="G143" s="229"/>
      <c r="H143" s="229"/>
      <c r="I143" s="90"/>
      <c r="J143" s="91"/>
      <c r="K143" s="91"/>
      <c r="L143" s="91"/>
    </row>
    <row r="144" spans="2:12" ht="22.5" customHeight="1" hidden="1">
      <c r="B144" s="230" t="s">
        <v>167</v>
      </c>
      <c r="C144" s="231"/>
      <c r="D144" s="110">
        <v>0</v>
      </c>
      <c r="E144" s="70" t="s">
        <v>104</v>
      </c>
      <c r="G144" s="229"/>
      <c r="H144" s="229"/>
      <c r="I144" s="90"/>
      <c r="J144" s="91"/>
      <c r="K144" s="91"/>
      <c r="L144" s="91"/>
    </row>
    <row r="145" spans="4:15" ht="15.75">
      <c r="D145" s="105"/>
      <c r="N145" s="229"/>
      <c r="O145" s="229"/>
    </row>
    <row r="146" spans="4:15" ht="15.75">
      <c r="D146" s="104"/>
      <c r="I146" s="34"/>
      <c r="N146" s="232"/>
      <c r="O146" s="232"/>
    </row>
    <row r="147" spans="14:15" ht="15.75">
      <c r="N147" s="229"/>
      <c r="O147" s="22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8" sqref="A28:IV3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311</v>
      </c>
      <c r="N3" s="263" t="s">
        <v>312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307</v>
      </c>
      <c r="F4" s="246" t="s">
        <v>116</v>
      </c>
      <c r="G4" s="248" t="s">
        <v>308</v>
      </c>
      <c r="H4" s="250" t="s">
        <v>309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314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310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7"/>
      <c r="O79" s="237"/>
    </row>
    <row r="80" spans="3:15" ht="15.75">
      <c r="C80" s="111">
        <v>42306</v>
      </c>
      <c r="D80" s="34">
        <v>6844.5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42305</v>
      </c>
      <c r="D81" s="34">
        <v>4690.4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257.30632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303</v>
      </c>
      <c r="N3" s="263" t="s">
        <v>304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298</v>
      </c>
      <c r="F4" s="246" t="s">
        <v>116</v>
      </c>
      <c r="G4" s="248" t="s">
        <v>299</v>
      </c>
      <c r="H4" s="250" t="s">
        <v>300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306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302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7"/>
      <c r="O79" s="237"/>
    </row>
    <row r="80" spans="3:15" ht="15.75">
      <c r="C80" s="111">
        <v>42276</v>
      </c>
      <c r="D80" s="34">
        <v>6511.1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42275</v>
      </c>
      <c r="D81" s="34">
        <v>4229.6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f>1507100.82/1000</f>
        <v>1507.10082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293</v>
      </c>
      <c r="N3" s="263" t="s">
        <v>294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291</v>
      </c>
      <c r="F4" s="246" t="s">
        <v>116</v>
      </c>
      <c r="G4" s="248" t="s">
        <v>292</v>
      </c>
      <c r="H4" s="250" t="s">
        <v>301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297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295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7"/>
      <c r="O79" s="237"/>
    </row>
    <row r="80" spans="3:15" ht="15.75">
      <c r="C80" s="111">
        <v>42244</v>
      </c>
      <c r="D80" s="34">
        <v>8323.9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42243</v>
      </c>
      <c r="D81" s="34">
        <v>4177.3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2162.07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285</v>
      </c>
      <c r="N3" s="263" t="s">
        <v>286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282</v>
      </c>
      <c r="F4" s="246" t="s">
        <v>116</v>
      </c>
      <c r="G4" s="248" t="s">
        <v>283</v>
      </c>
      <c r="H4" s="250" t="s">
        <v>284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290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287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7"/>
      <c r="O79" s="237"/>
    </row>
    <row r="80" spans="3:15" ht="15.75">
      <c r="C80" s="111">
        <v>42215</v>
      </c>
      <c r="D80" s="34">
        <v>7239.9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42214</v>
      </c>
      <c r="D81" s="34">
        <v>4823.1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24842.96012</v>
      </c>
      <c r="E83" s="73"/>
      <c r="F83" s="156" t="s">
        <v>147</v>
      </c>
      <c r="G83" s="266" t="s">
        <v>149</v>
      </c>
      <c r="H83" s="266"/>
      <c r="I83" s="107">
        <v>15933.22791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1" t="s">
        <v>280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17"/>
      <c r="R1" s="118"/>
    </row>
    <row r="2" spans="2:18" s="1" customFormat="1" ht="15.75" customHeight="1">
      <c r="B2" s="253"/>
      <c r="C2" s="253"/>
      <c r="D2" s="25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277</v>
      </c>
      <c r="N3" s="263" t="s">
        <v>278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279</v>
      </c>
      <c r="F4" s="269" t="s">
        <v>116</v>
      </c>
      <c r="G4" s="248" t="s">
        <v>275</v>
      </c>
      <c r="H4" s="250" t="s">
        <v>276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281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70"/>
      <c r="G5" s="249"/>
      <c r="H5" s="251"/>
      <c r="I5" s="244"/>
      <c r="J5" s="227"/>
      <c r="K5" s="239" t="s">
        <v>288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7"/>
      <c r="O79" s="237"/>
    </row>
    <row r="80" spans="3:15" ht="15.75">
      <c r="C80" s="111">
        <v>42181</v>
      </c>
      <c r="D80" s="34">
        <v>8722.4</v>
      </c>
      <c r="F80" s="217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42180</v>
      </c>
      <c r="D81" s="34">
        <v>4146.6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152943.93305000002</v>
      </c>
      <c r="E83" s="73"/>
      <c r="F83" s="218" t="s">
        <v>147</v>
      </c>
      <c r="G83" s="266" t="s">
        <v>149</v>
      </c>
      <c r="H83" s="266"/>
      <c r="I83" s="107">
        <v>144034.20084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266</v>
      </c>
      <c r="N3" s="263" t="s">
        <v>267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262</v>
      </c>
      <c r="F4" s="246" t="s">
        <v>116</v>
      </c>
      <c r="G4" s="248" t="s">
        <v>263</v>
      </c>
      <c r="H4" s="250" t="s">
        <v>264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273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265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7"/>
      <c r="O79" s="237"/>
    </row>
    <row r="80" spans="3:15" ht="15.75">
      <c r="C80" s="111">
        <v>42152</v>
      </c>
      <c r="D80" s="34">
        <v>5845.4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42151</v>
      </c>
      <c r="D81" s="34">
        <v>3158.7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7:13" ht="15.75" customHeight="1"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153606.78</v>
      </c>
      <c r="E83" s="73"/>
      <c r="F83" s="156" t="s">
        <v>147</v>
      </c>
      <c r="G83" s="266" t="s">
        <v>149</v>
      </c>
      <c r="H83" s="266"/>
      <c r="I83" s="107">
        <v>144697.05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240</v>
      </c>
      <c r="N3" s="263" t="s">
        <v>241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237</v>
      </c>
      <c r="F4" s="272" t="s">
        <v>116</v>
      </c>
      <c r="G4" s="248" t="s">
        <v>238</v>
      </c>
      <c r="H4" s="250" t="s">
        <v>239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260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73"/>
      <c r="G5" s="249"/>
      <c r="H5" s="251"/>
      <c r="I5" s="244"/>
      <c r="J5" s="227"/>
      <c r="K5" s="239" t="s">
        <v>242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1"/>
      <c r="H103" s="241"/>
      <c r="I103" s="241"/>
      <c r="J103" s="24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7"/>
      <c r="O104" s="237"/>
    </row>
    <row r="105" spans="3:15" ht="15.75">
      <c r="C105" s="111">
        <v>42123</v>
      </c>
      <c r="D105" s="34">
        <v>7959.6</v>
      </c>
      <c r="F105" s="201" t="s">
        <v>166</v>
      </c>
      <c r="G105" s="229"/>
      <c r="H105" s="229"/>
      <c r="I105" s="177"/>
      <c r="J105" s="235"/>
      <c r="K105" s="235"/>
      <c r="L105" s="235"/>
      <c r="M105" s="235"/>
      <c r="N105" s="237"/>
      <c r="O105" s="237"/>
    </row>
    <row r="106" spans="3:15" ht="15.75" customHeight="1">
      <c r="C106" s="111">
        <v>42122</v>
      </c>
      <c r="D106" s="34">
        <v>4962.7</v>
      </c>
      <c r="G106" s="266" t="s">
        <v>151</v>
      </c>
      <c r="H106" s="266"/>
      <c r="I106" s="106">
        <v>8909.73221</v>
      </c>
      <c r="J106" s="236"/>
      <c r="K106" s="236"/>
      <c r="L106" s="236"/>
      <c r="M106" s="236"/>
      <c r="N106" s="237"/>
      <c r="O106" s="237"/>
    </row>
    <row r="107" spans="7:13" ht="15.75" customHeight="1">
      <c r="G107" s="267" t="s">
        <v>234</v>
      </c>
      <c r="H107" s="268"/>
      <c r="I107" s="103">
        <v>0</v>
      </c>
      <c r="J107" s="235"/>
      <c r="K107" s="235"/>
      <c r="L107" s="235"/>
      <c r="M107" s="235"/>
    </row>
    <row r="108" spans="2:13" ht="18.75" customHeight="1">
      <c r="B108" s="233" t="s">
        <v>160</v>
      </c>
      <c r="C108" s="234"/>
      <c r="D108" s="108">
        <v>154856.06924</v>
      </c>
      <c r="E108" s="73"/>
      <c r="F108" s="202" t="s">
        <v>147</v>
      </c>
      <c r="G108" s="266" t="s">
        <v>149</v>
      </c>
      <c r="H108" s="266"/>
      <c r="I108" s="107">
        <v>145946.33703</v>
      </c>
      <c r="J108" s="235"/>
      <c r="K108" s="235"/>
      <c r="L108" s="235"/>
      <c r="M108" s="235"/>
    </row>
    <row r="109" spans="7:12" ht="9.75" customHeight="1">
      <c r="G109" s="229"/>
      <c r="H109" s="229"/>
      <c r="I109" s="90"/>
      <c r="J109" s="91"/>
      <c r="K109" s="91"/>
      <c r="L109" s="91"/>
    </row>
    <row r="110" spans="2:12" ht="22.5" customHeight="1" hidden="1">
      <c r="B110" s="230" t="s">
        <v>167</v>
      </c>
      <c r="C110" s="231"/>
      <c r="D110" s="110">
        <v>0</v>
      </c>
      <c r="E110" s="70" t="s">
        <v>104</v>
      </c>
      <c r="G110" s="229"/>
      <c r="H110" s="229"/>
      <c r="I110" s="90"/>
      <c r="J110" s="91"/>
      <c r="K110" s="91"/>
      <c r="L110" s="91"/>
    </row>
    <row r="111" spans="4:15" ht="15.75">
      <c r="D111" s="105"/>
      <c r="N111" s="229"/>
      <c r="O111" s="229"/>
    </row>
    <row r="112" spans="4:15" ht="15.75">
      <c r="D112" s="104"/>
      <c r="I112" s="34"/>
      <c r="N112" s="232"/>
      <c r="O112" s="232"/>
    </row>
    <row r="113" spans="14:15" ht="15.75">
      <c r="N113" s="229"/>
      <c r="O113" s="22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231</v>
      </c>
      <c r="N3" s="263" t="s">
        <v>232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228</v>
      </c>
      <c r="F4" s="246" t="s">
        <v>116</v>
      </c>
      <c r="G4" s="248" t="s">
        <v>229</v>
      </c>
      <c r="H4" s="250" t="s">
        <v>230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236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233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7"/>
      <c r="O105" s="237"/>
    </row>
    <row r="106" spans="3:15" ht="15.75">
      <c r="C106" s="111">
        <v>42093</v>
      </c>
      <c r="D106" s="34">
        <v>8025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42090</v>
      </c>
      <c r="D107" s="34">
        <v>4282.6</v>
      </c>
      <c r="G107" s="266" t="s">
        <v>151</v>
      </c>
      <c r="H107" s="266"/>
      <c r="I107" s="106">
        <f>8909732.21/1000</f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67" t="s">
        <v>234</v>
      </c>
      <c r="H108" s="268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147433239.77/1000</f>
        <v>147433.23977000001</v>
      </c>
      <c r="E109" s="73"/>
      <c r="F109" s="156" t="s">
        <v>147</v>
      </c>
      <c r="G109" s="266" t="s">
        <v>149</v>
      </c>
      <c r="H109" s="266"/>
      <c r="I109" s="107">
        <f>138523507.56/1000</f>
        <v>138523.50756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2015-11-19T09:57:40Z</cp:lastPrinted>
  <dcterms:created xsi:type="dcterms:W3CDTF">2003-07-28T11:27:56Z</dcterms:created>
  <dcterms:modified xsi:type="dcterms:W3CDTF">2015-11-19T10:08:16Z</dcterms:modified>
  <cp:category/>
  <cp:version/>
  <cp:contentType/>
  <cp:contentStatus/>
</cp:coreProperties>
</file>